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8" activeTab="1"/>
  </bookViews>
  <sheets>
    <sheet name="Hoja1" sheetId="1" r:id="rId1"/>
    <sheet name="Hoja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Angel Vilari?o</author>
  </authors>
  <commentList>
    <comment ref="A8" authorId="0">
      <text>
        <r>
          <rPr>
            <b/>
            <sz val="8"/>
            <rFont val="Tahoma"/>
            <family val="0"/>
          </rPr>
          <t>Precio del activo subyacente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Precio de ejercicio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Tasa de interés al plazo de la opción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Rendimiento anualizado del activo subyacente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Volatilidad anualizada</t>
        </r>
      </text>
    </comment>
    <comment ref="F8" authorId="0">
      <text>
        <r>
          <rPr>
            <b/>
            <sz val="8"/>
            <rFont val="Tahoma"/>
            <family val="0"/>
          </rPr>
          <t>Plazo en días hasta el vencimiento de la opción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Precio de la opción de compra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Precio de la opción de venta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Precio de la opción de compra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Precio de la opción de venta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Precio del activo subyacente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0"/>
          </rPr>
          <t>Precio de ejercicio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Tasa de interés al plazo de la opción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0"/>
          </rPr>
          <t>Rendimiento anualizado del activo subyacente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Volatilidad anualizada</t>
        </r>
      </text>
    </comment>
    <comment ref="F29" authorId="0">
      <text>
        <r>
          <rPr>
            <b/>
            <sz val="8"/>
            <rFont val="Tahoma"/>
            <family val="0"/>
          </rPr>
          <t>Plazo en días hasta el vencimiento de la opción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Angel Vilari?o</author>
  </authors>
  <commentList>
    <comment ref="A4" authorId="0">
      <text>
        <r>
          <rPr>
            <b/>
            <sz val="8"/>
            <rFont val="Tahoma"/>
            <family val="0"/>
          </rPr>
          <t>Precio de la opción de compra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Precio de la opción de venta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Precio del activo subyacente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Precio de ejercicio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Tasa de interés al plazo de la opción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Rendimiento anualizado del activo subyacente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Volatilidad anualizada</t>
        </r>
      </text>
    </comment>
    <comment ref="F8" authorId="0">
      <text>
        <r>
          <rPr>
            <b/>
            <sz val="8"/>
            <rFont val="Tahoma"/>
            <family val="0"/>
          </rPr>
          <t>Plazo en días hasta el vencimiento de la opción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<sst xmlns="http://schemas.openxmlformats.org/spreadsheetml/2006/main" count="60" uniqueCount="27">
  <si>
    <t xml:space="preserve">         N'(d1)</t>
  </si>
  <si>
    <t xml:space="preserve">        T  dias</t>
  </si>
  <si>
    <t xml:space="preserve">        T  años</t>
  </si>
  <si>
    <t>Zona de datos</t>
  </si>
  <si>
    <t>Zona de resultados</t>
  </si>
  <si>
    <t>S</t>
  </si>
  <si>
    <t>E</t>
  </si>
  <si>
    <t>r</t>
  </si>
  <si>
    <t>q</t>
  </si>
  <si>
    <t>sigma</t>
  </si>
  <si>
    <t>CALL</t>
  </si>
  <si>
    <t>DELTA</t>
  </si>
  <si>
    <t>GAMMA</t>
  </si>
  <si>
    <t>THETA</t>
  </si>
  <si>
    <t>RHO</t>
  </si>
  <si>
    <t>LAMBDA</t>
  </si>
  <si>
    <t>PUT</t>
  </si>
  <si>
    <t>d1</t>
  </si>
  <si>
    <t>d2</t>
  </si>
  <si>
    <t>N(d1)</t>
  </si>
  <si>
    <t>N(d2)</t>
  </si>
  <si>
    <t>N(-d2)</t>
  </si>
  <si>
    <t>N(-d1)</t>
  </si>
  <si>
    <t>OPCIONES ESTÁNDAR EUROPEAS     Modelo Black-Scholes</t>
  </si>
  <si>
    <t>VaR delta</t>
  </si>
  <si>
    <t>VaR delta gamma</t>
  </si>
  <si>
    <t>gamma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</si>
</sst>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"/>
    <numFmt numFmtId="181" formatCode="0.000"/>
    <numFmt numFmtId="182" formatCode="0.00000"/>
    <numFmt numFmtId="183" formatCode="0.000000"/>
    <numFmt numFmtId="184" formatCode="0.0000000"/>
    <numFmt numFmtId="185" formatCode="d/m"/>
    <numFmt numFmtId="186" formatCode="0.0"/>
    <numFmt numFmtId="187" formatCode="0.00000000"/>
    <numFmt numFmtId="188" formatCode="0.000000000"/>
    <numFmt numFmtId="189" formatCode="0.0000000000"/>
    <numFmt numFmtId="190" formatCode="0.0%"/>
    <numFmt numFmtId="191" formatCode="#,##0.0"/>
    <numFmt numFmtId="192" formatCode="#,##0.000"/>
    <numFmt numFmtId="193" formatCode="0.000%"/>
    <numFmt numFmtId="194" formatCode="0.00000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.0000"/>
    <numFmt numFmtId="200" formatCode="0.00000%"/>
    <numFmt numFmtId="201" formatCode="#,##0.00000"/>
    <numFmt numFmtId="202" formatCode="#,##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4" fontId="6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81" fontId="6" fillId="0" borderId="0" xfId="0" applyNumberFormat="1" applyFont="1" applyAlignment="1">
      <alignment/>
    </xf>
    <xf numFmtId="182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  <xf numFmtId="1" fontId="6" fillId="4" borderId="0" xfId="0" applyNumberFormat="1" applyFont="1" applyFill="1" applyAlignment="1">
      <alignment/>
    </xf>
    <xf numFmtId="182" fontId="6" fillId="4" borderId="0" xfId="0" applyNumberFormat="1" applyFont="1" applyFill="1" applyAlignment="1">
      <alignment/>
    </xf>
    <xf numFmtId="10" fontId="7" fillId="0" borderId="0" xfId="21" applyNumberFormat="1" applyFont="1" applyAlignment="1">
      <alignment/>
    </xf>
    <xf numFmtId="193" fontId="0" fillId="0" borderId="0" xfId="21" applyNumberFormat="1" applyAlignment="1">
      <alignment/>
    </xf>
    <xf numFmtId="2" fontId="0" fillId="0" borderId="0" xfId="0" applyNumberFormat="1" applyAlignment="1">
      <alignment/>
    </xf>
    <xf numFmtId="182" fontId="5" fillId="3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4" fontId="5" fillId="2" borderId="1" xfId="0" applyNumberFormat="1" applyFont="1" applyFill="1" applyBorder="1" applyAlignment="1">
      <alignment horizontal="center"/>
    </xf>
    <xf numFmtId="180" fontId="5" fillId="2" borderId="1" xfId="0" applyNumberFormat="1" applyFont="1" applyFill="1" applyBorder="1" applyAlignment="1">
      <alignment horizontal="center"/>
    </xf>
    <xf numFmtId="183" fontId="5" fillId="2" borderId="1" xfId="0" applyNumberFormat="1" applyFont="1" applyFill="1" applyBorder="1" applyAlignment="1">
      <alignment horizontal="center"/>
    </xf>
    <xf numFmtId="181" fontId="5" fillId="2" borderId="1" xfId="0" applyNumberFormat="1" applyFont="1" applyFill="1" applyBorder="1" applyAlignment="1">
      <alignment horizontal="center"/>
    </xf>
    <xf numFmtId="182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0" fontId="5" fillId="2" borderId="1" xfId="21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99" fontId="5" fillId="2" borderId="1" xfId="0" applyNumberFormat="1" applyFont="1" applyFill="1" applyBorder="1" applyAlignment="1">
      <alignment horizontal="center"/>
    </xf>
    <xf numFmtId="192" fontId="0" fillId="0" borderId="0" xfId="0" applyNumberFormat="1" applyAlignment="1">
      <alignment/>
    </xf>
    <xf numFmtId="181" fontId="0" fillId="0" borderId="0" xfId="0" applyNumberFormat="1" applyAlignment="1">
      <alignment/>
    </xf>
    <xf numFmtId="14" fontId="6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202" fontId="5" fillId="2" borderId="1" xfId="0" applyNumberFormat="1" applyFont="1" applyFill="1" applyBorder="1" applyAlignment="1">
      <alignment horizontal="center"/>
    </xf>
    <xf numFmtId="201" fontId="5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80" fontId="6" fillId="0" borderId="0" xfId="0" applyNumberFormat="1" applyFont="1" applyAlignment="1">
      <alignment/>
    </xf>
    <xf numFmtId="180" fontId="6" fillId="2" borderId="0" xfId="0" applyNumberFormat="1" applyFont="1" applyFill="1" applyAlignment="1">
      <alignment/>
    </xf>
    <xf numFmtId="10" fontId="5" fillId="3" borderId="1" xfId="21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3">
      <selection activeCell="A8" sqref="A8"/>
    </sheetView>
  </sheetViews>
  <sheetFormatPr defaultColWidth="11.421875" defaultRowHeight="12.75"/>
  <cols>
    <col min="1" max="1" width="14.28125" style="0" customWidth="1"/>
    <col min="2" max="2" width="13.28125" style="0" customWidth="1"/>
    <col min="3" max="3" width="14.00390625" style="0" customWidth="1"/>
    <col min="4" max="4" width="12.57421875" style="0" customWidth="1"/>
    <col min="5" max="5" width="12.421875" style="0" customWidth="1"/>
    <col min="6" max="6" width="13.140625" style="0" customWidth="1"/>
  </cols>
  <sheetData>
    <row r="1" spans="1:7" ht="15.75">
      <c r="A1" s="1" t="s">
        <v>23</v>
      </c>
      <c r="B1" s="2"/>
      <c r="C1" s="2"/>
      <c r="D1" s="2"/>
      <c r="E1" s="2"/>
      <c r="F1" s="2"/>
      <c r="G1" s="3"/>
    </row>
    <row r="2" spans="1:7" ht="15">
      <c r="A2" s="2"/>
      <c r="B2" s="2"/>
      <c r="C2" s="2"/>
      <c r="D2" s="2"/>
      <c r="E2" s="2"/>
      <c r="F2" s="2"/>
      <c r="G2" s="3"/>
    </row>
    <row r="3" spans="1:7" ht="15.75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32"/>
    </row>
    <row r="4" spans="1:7" ht="15.75">
      <c r="A4" s="35">
        <f>$A$8*EXP(-$D$8*G8)*$C$10-$B$8*(EXP(-$C$8*G8))*$D$10</f>
        <v>4.024710726826715</v>
      </c>
      <c r="B4" s="22">
        <f>+EXP(-D8*G8)*C10</f>
        <v>0.7992436763928181</v>
      </c>
      <c r="C4" s="20">
        <f>+EXP(-D$8*G$8)*G$10/(A$8*E$8*(G$8)^0.5)</f>
        <v>0.0582586241304236</v>
      </c>
      <c r="D4" s="21">
        <f>-A$8*D$8*EXP(-D$8*G$8)*C$10+B$8*C$8*EXP(-C$8*G$8)*D$10+A$8*EXP(-D$8*G$8)*G$10*E$8/(2*SQRT(G$8))</f>
        <v>3.052994237569236</v>
      </c>
      <c r="E4" s="21">
        <f>+B8*G8*EXP(-C8*G8)*D10</f>
        <v>6.559758761082027</v>
      </c>
      <c r="F4" s="22">
        <f>+EXP(-D$8*G$8)*A$8*SQRT(G$8)*G$10</f>
        <v>4.826687106038382</v>
      </c>
      <c r="G4" s="32"/>
    </row>
    <row r="5" spans="1:7" ht="15.75">
      <c r="A5" s="4" t="s">
        <v>16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2"/>
    </row>
    <row r="6" spans="1:8" ht="15.75">
      <c r="A6" s="34">
        <f>B8*(EXP(-C8*G8))*F10-A8*(EXP(-D8*G8))*E10</f>
        <v>0.5845031673920102</v>
      </c>
      <c r="B6" s="22">
        <f>+EXP(-D8*G8)*(C10-1)</f>
        <v>-0.20075632360718187</v>
      </c>
      <c r="C6" s="20">
        <f>+EXP(-D$8*G$8)*G$10/(A$8*E$8*(G$8)^0.5)</f>
        <v>0.0582586241304236</v>
      </c>
      <c r="D6" s="21">
        <f>-A$8*D$8*EXP(-D$8*G$8)*(C$10-1)+B$8*C$8*EXP(-C$8*G$8)*(D$10-1)+A$8*EXP(-D$8*G$8)*G$10*E$8/(2*SQRT(G$8))</f>
        <v>1.725004615540971</v>
      </c>
      <c r="E6" s="21">
        <f>-B8*G8*EXP(-C8*G8)*F10</f>
        <v>-2.1722277947202633</v>
      </c>
      <c r="F6" s="22">
        <f>+EXP(-D$8*G$8)*A$8*SQRT(G$8)*G$10</f>
        <v>4.826687106038382</v>
      </c>
      <c r="G6" s="2"/>
      <c r="H6" s="28"/>
    </row>
    <row r="7" spans="1:8" ht="15.75">
      <c r="A7" s="6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1" t="s">
        <v>1</v>
      </c>
      <c r="G7" s="1" t="s">
        <v>2</v>
      </c>
      <c r="H7" s="28"/>
    </row>
    <row r="8" spans="1:10" ht="15.75">
      <c r="A8" s="18">
        <v>30</v>
      </c>
      <c r="B8" s="18">
        <v>27</v>
      </c>
      <c r="C8" s="24">
        <v>0.05</v>
      </c>
      <c r="D8" s="24">
        <v>0</v>
      </c>
      <c r="E8" s="24">
        <v>0.28</v>
      </c>
      <c r="F8" s="25">
        <v>120</v>
      </c>
      <c r="G8" s="19">
        <f>+F8/365</f>
        <v>0.3287671232876712</v>
      </c>
      <c r="J8" s="13"/>
    </row>
    <row r="9" spans="1:10" ht="15.75">
      <c r="A9" s="4" t="s">
        <v>17</v>
      </c>
      <c r="B9" s="4" t="s">
        <v>18</v>
      </c>
      <c r="C9" s="4" t="s">
        <v>19</v>
      </c>
      <c r="D9" s="4" t="s">
        <v>20</v>
      </c>
      <c r="E9" s="4" t="s">
        <v>22</v>
      </c>
      <c r="F9" s="4" t="s">
        <v>21</v>
      </c>
      <c r="G9" s="4" t="s">
        <v>0</v>
      </c>
      <c r="J9" s="13"/>
    </row>
    <row r="10" spans="1:7" ht="15.75">
      <c r="A10" s="22">
        <f>+(LN(A8/B8)+(C8-D8+E8^2/2)*G8)/(E8*SQRT(G8))</f>
        <v>0.8389227736809928</v>
      </c>
      <c r="B10" s="22">
        <f>+A10-E8*SQRT(G8)</f>
        <v>0.6783757635383139</v>
      </c>
      <c r="C10" s="22">
        <f>NORMSDIST(A10)</f>
        <v>0.7992436763928181</v>
      </c>
      <c r="D10" s="22">
        <f>NORMSDIST(B10)</f>
        <v>0.7512332639499031</v>
      </c>
      <c r="E10" s="22">
        <f>1-C10</f>
        <v>0.20075632360718187</v>
      </c>
      <c r="F10" s="22">
        <f>1-D10</f>
        <v>0.24876673605009691</v>
      </c>
      <c r="G10" s="22">
        <f>+(1/SQRT(2*PI()))*EXP(-(A10^2)/2)</f>
        <v>0.28059743757496897</v>
      </c>
    </row>
    <row r="11" spans="1:10" ht="15">
      <c r="A11" s="7"/>
      <c r="B11" s="5"/>
      <c r="C11" s="5"/>
      <c r="D11" s="5"/>
      <c r="E11" s="5"/>
      <c r="F11" s="5"/>
      <c r="G11" s="5"/>
      <c r="J11" s="14"/>
    </row>
    <row r="12" spans="1:10" ht="15.75">
      <c r="A12" s="16" t="s">
        <v>3</v>
      </c>
      <c r="B12" s="8"/>
      <c r="C12" s="8"/>
      <c r="D12" s="9"/>
      <c r="E12" s="9"/>
      <c r="F12" s="9"/>
      <c r="G12" s="5"/>
      <c r="H12" s="29"/>
      <c r="J12" s="15"/>
    </row>
    <row r="13" spans="1:10" ht="15.75">
      <c r="A13" s="17" t="s">
        <v>4</v>
      </c>
      <c r="B13" s="11"/>
      <c r="C13" s="12"/>
      <c r="D13" s="10"/>
      <c r="E13" s="10"/>
      <c r="F13" s="10"/>
      <c r="G13" s="38">
        <f>1.65*30*D15*SQRT(10)</f>
        <v>2.3479911626750214</v>
      </c>
      <c r="H13" s="28"/>
      <c r="J13" s="15"/>
    </row>
    <row r="14" spans="1:8" ht="15">
      <c r="A14" s="30"/>
      <c r="B14" s="31"/>
      <c r="C14" s="37">
        <v>30000</v>
      </c>
      <c r="D14" s="36"/>
      <c r="E14" s="32"/>
      <c r="F14" s="32"/>
      <c r="G14" s="39">
        <f>+G13^2</f>
        <v>5.513062499999998</v>
      </c>
      <c r="H14" s="28"/>
    </row>
    <row r="15" spans="1:8" ht="15.75">
      <c r="A15" s="25">
        <f>30000*A4</f>
        <v>120741.32180480145</v>
      </c>
      <c r="B15" s="25"/>
      <c r="C15" s="19">
        <f>+B4*G13</f>
        <v>1.8766170889942315</v>
      </c>
      <c r="D15" s="4">
        <v>0.015</v>
      </c>
      <c r="E15" s="4"/>
      <c r="F15" s="4">
        <v>4.02471</v>
      </c>
      <c r="G15" s="32">
        <f>0.5*C4*G14</f>
        <v>0.16059171799751668</v>
      </c>
      <c r="H15" s="26"/>
    </row>
    <row r="16" spans="1:7" ht="15.75">
      <c r="A16" s="27"/>
      <c r="B16" s="25" t="s">
        <v>24</v>
      </c>
      <c r="C16" s="25">
        <f>+C15*C14</f>
        <v>56298.512669826945</v>
      </c>
      <c r="D16" s="21"/>
      <c r="E16" s="21"/>
      <c r="F16" s="22">
        <f>+A4</f>
        <v>4.024710726826715</v>
      </c>
      <c r="G16" s="32"/>
    </row>
    <row r="17" spans="1:7" ht="15.75">
      <c r="A17" s="4"/>
      <c r="B17" s="4" t="s">
        <v>26</v>
      </c>
      <c r="C17" s="25">
        <f>+C14*G15</f>
        <v>4817.7515399255</v>
      </c>
      <c r="D17" s="4"/>
      <c r="E17" s="4"/>
      <c r="F17" s="22">
        <f>+F15-F16</f>
        <v>-7.268267152582553E-07</v>
      </c>
      <c r="G17" s="2"/>
    </row>
    <row r="18" spans="1:7" ht="15.75">
      <c r="A18" s="27"/>
      <c r="B18" s="19" t="s">
        <v>25</v>
      </c>
      <c r="C18" s="25">
        <f>+C16-C17</f>
        <v>51480.761129901446</v>
      </c>
      <c r="D18" s="21"/>
      <c r="E18" s="21"/>
      <c r="F18" s="25">
        <f>+F17*30000</f>
        <v>-0.021804801457747658</v>
      </c>
      <c r="G18" s="2"/>
    </row>
    <row r="19" spans="1:7" ht="15.75">
      <c r="A19" s="6"/>
      <c r="B19" s="4"/>
      <c r="C19" s="25"/>
      <c r="D19" s="4"/>
      <c r="E19" s="4"/>
      <c r="F19" s="1"/>
      <c r="G19" s="1"/>
    </row>
    <row r="20" spans="1:7" ht="15.75">
      <c r="A20" s="18"/>
      <c r="B20" s="23"/>
      <c r="C20" s="24"/>
      <c r="D20" s="24"/>
      <c r="E20" s="24"/>
      <c r="F20" s="25"/>
      <c r="G20" s="19"/>
    </row>
    <row r="21" spans="1:7" ht="15.75">
      <c r="A21" s="4"/>
      <c r="B21" s="4"/>
      <c r="C21" s="4"/>
      <c r="D21" s="4"/>
      <c r="E21" s="4"/>
      <c r="F21" s="4"/>
      <c r="G21" s="4"/>
    </row>
    <row r="22" spans="1:7" ht="15.75">
      <c r="A22" s="22"/>
      <c r="B22" s="22"/>
      <c r="C22" s="22"/>
      <c r="D22" s="22"/>
      <c r="E22" s="22"/>
      <c r="F22" s="22"/>
      <c r="G22" s="22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5.75">
      <c r="A24" s="4"/>
      <c r="B24" s="4"/>
      <c r="C24" s="4"/>
      <c r="D24" s="4"/>
      <c r="E24" s="4"/>
      <c r="F24" s="4"/>
      <c r="G24" s="32"/>
    </row>
    <row r="25" spans="1:7" ht="15.75">
      <c r="A25" s="27"/>
      <c r="B25" s="19"/>
      <c r="C25" s="20"/>
      <c r="D25" s="21"/>
      <c r="E25" s="21"/>
      <c r="F25" s="22"/>
      <c r="G25" s="32"/>
    </row>
    <row r="26" spans="1:7" ht="15.75">
      <c r="A26" s="4"/>
      <c r="B26" s="4"/>
      <c r="C26" s="4"/>
      <c r="D26" s="4"/>
      <c r="E26" s="4"/>
      <c r="F26" s="4"/>
      <c r="G26" s="2"/>
    </row>
    <row r="27" spans="1:7" ht="15.75">
      <c r="A27" s="27"/>
      <c r="B27" s="19"/>
      <c r="C27" s="20"/>
      <c r="D27" s="21"/>
      <c r="E27" s="21"/>
      <c r="F27" s="22"/>
      <c r="G27" s="2"/>
    </row>
    <row r="28" spans="1:7" ht="15.75">
      <c r="A28" s="6"/>
      <c r="B28" s="4"/>
      <c r="C28" s="4"/>
      <c r="D28" s="4"/>
      <c r="E28" s="4"/>
      <c r="F28" s="1"/>
      <c r="G28" s="1"/>
    </row>
    <row r="29" spans="1:7" ht="15.75">
      <c r="A29" s="18"/>
      <c r="B29" s="23"/>
      <c r="C29" s="24"/>
      <c r="D29" s="24"/>
      <c r="E29" s="24"/>
      <c r="F29" s="25"/>
      <c r="G29" s="19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22"/>
      <c r="B31" s="22"/>
      <c r="C31" s="22"/>
      <c r="D31" s="22"/>
      <c r="E31" s="22"/>
      <c r="F31" s="22"/>
      <c r="G31" s="22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</sheetData>
  <printOptions/>
  <pageMargins left="0.75" right="0.75" top="1" bottom="1" header="0" footer="0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8"/>
  <sheetViews>
    <sheetView tabSelected="1" workbookViewId="0" topLeftCell="A3">
      <selection activeCell="D9" sqref="D9"/>
    </sheetView>
  </sheetViews>
  <sheetFormatPr defaultColWidth="11.421875" defaultRowHeight="12.75"/>
  <cols>
    <col min="1" max="1" width="12.140625" style="0" bestFit="1" customWidth="1"/>
    <col min="6" max="6" width="15.140625" style="0" bestFit="1" customWidth="1"/>
  </cols>
  <sheetData>
    <row r="3" spans="1:7" ht="15.75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32"/>
    </row>
    <row r="4" spans="1:7" ht="15.75">
      <c r="A4" s="18">
        <f>$A$8*EXP(-$D$8*G8)*$C$10-$B$8*(EXP(-$C$8*G8))*$D$10</f>
        <v>187.70007095129495</v>
      </c>
      <c r="B4" s="22">
        <f>+EXP(-D8*G8)*C10</f>
        <v>0.45898459248805945</v>
      </c>
      <c r="C4" s="20">
        <f>+EXP(-D$8*G$8)*G$10/(A$8*E$8*(G$8)^0.5)</f>
        <v>0.0006879311026880792</v>
      </c>
      <c r="D4" s="21">
        <f>-A$8*D$8*EXP(-D$8*G$8)*C$10+B$8*C$8*EXP(-C$8*G$8)*D$10+A$8*EXP(-D$8*G$8)*G$10*E$8/(2*SQRT(G$8))</f>
        <v>531.1455476795124</v>
      </c>
      <c r="E4" s="21">
        <f>+IF(C8=D8,0,B8*G8*EXP(-C8*G8)*D10)</f>
        <v>451.7971358334675</v>
      </c>
      <c r="F4" s="22">
        <f>+EXP(-D$8*G$8)*A$8*SQRT(G$8)*G$10</f>
        <v>905.0534671529194</v>
      </c>
      <c r="G4" s="32"/>
    </row>
    <row r="5" spans="1:7" ht="15.75">
      <c r="A5" s="4" t="s">
        <v>16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2"/>
    </row>
    <row r="6" spans="1:7" ht="15.75">
      <c r="A6" s="18">
        <f>B8*(EXP(-C8*G8))*F10-A8*(EXP(-D8*G8))*E10</f>
        <v>276.16953411912436</v>
      </c>
      <c r="B6" s="22">
        <f>+EXP(-D8*G8)*(C10-1)</f>
        <v>-0.5344616353072795</v>
      </c>
      <c r="C6" s="20">
        <f>+EXP(-D$8*G$8)*G$10/(A$8*E$8*(G$8)^0.5)</f>
        <v>0.0006879311026880792</v>
      </c>
      <c r="D6" s="21">
        <f>-A$8*D$8*EXP(-D$8*G$8)*(C$10-1)+B$8*C$8*EXP(-C$8*G$8)*(D$10-1)+A$8*EXP(-D$8*G$8)*G$10*E$8/(2*SQRT(G$8))</f>
        <v>478.92790399082776</v>
      </c>
      <c r="E6" s="21">
        <f>IF(C8=D8,0,-B8*G8*EXP(-C8*G8)*F10)</f>
        <v>-634.5274623835164</v>
      </c>
      <c r="F6" s="22">
        <f>+EXP(-D$8*G$8)*A$8*SQRT(G$8)*G$10</f>
        <v>905.0534671529194</v>
      </c>
      <c r="G6" s="2"/>
    </row>
    <row r="7" spans="1:7" ht="15.75">
      <c r="A7" s="6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1" t="s">
        <v>1</v>
      </c>
      <c r="G7" s="1" t="s">
        <v>2</v>
      </c>
    </row>
    <row r="8" spans="1:7" ht="15.75">
      <c r="A8" s="43">
        <v>4900</v>
      </c>
      <c r="B8" s="43">
        <v>5000</v>
      </c>
      <c r="C8" s="40">
        <v>0.04</v>
      </c>
      <c r="D8" s="40">
        <v>0.03</v>
      </c>
      <c r="E8" s="40">
        <v>0.25</v>
      </c>
      <c r="F8" s="41">
        <v>80</v>
      </c>
      <c r="G8" s="19">
        <f>+F8/365</f>
        <v>0.2191780821917808</v>
      </c>
    </row>
    <row r="9" spans="1:7" ht="15.75">
      <c r="A9" s="4" t="s">
        <v>17</v>
      </c>
      <c r="B9" s="4" t="s">
        <v>18</v>
      </c>
      <c r="C9" s="4" t="s">
        <v>19</v>
      </c>
      <c r="D9" s="4" t="s">
        <v>20</v>
      </c>
      <c r="E9" s="4" t="s">
        <v>22</v>
      </c>
      <c r="F9" s="4" t="s">
        <v>21</v>
      </c>
      <c r="G9" s="4" t="s">
        <v>0</v>
      </c>
    </row>
    <row r="10" spans="1:7" ht="15.75">
      <c r="A10" s="22">
        <f>+(LN(A8/B8)+(C8-D8+E8^2/2)*G8)/(E8*SQRT(G8))</f>
        <v>-0.09536484983699405</v>
      </c>
      <c r="B10" s="22">
        <f>+A10-E8*SQRT(G8)</f>
        <v>-0.2124059970331246</v>
      </c>
      <c r="C10" s="22">
        <f>NORMSDIST(A10)</f>
        <v>0.46201251728202786</v>
      </c>
      <c r="D10" s="22">
        <f>NORMSDIST(B10)</f>
        <v>0.4158951537827784</v>
      </c>
      <c r="E10" s="22">
        <f>1-C10</f>
        <v>0.5379874827179721</v>
      </c>
      <c r="F10" s="22">
        <f>1-D10</f>
        <v>0.5841048462172216</v>
      </c>
      <c r="G10" s="22">
        <f>+(1/SQRT(2*PI()))*EXP(-(A10^2)/2)</f>
        <v>0.3971323174511925</v>
      </c>
    </row>
    <row r="11" spans="1:8" ht="15">
      <c r="A11" s="7"/>
      <c r="B11" s="5"/>
      <c r="C11" s="5"/>
      <c r="D11" s="5"/>
      <c r="E11" s="5"/>
      <c r="F11" s="5"/>
      <c r="G11" s="5"/>
      <c r="H11" s="15"/>
    </row>
    <row r="12" spans="1:7" ht="15">
      <c r="A12" s="16" t="s">
        <v>3</v>
      </c>
      <c r="B12" s="8"/>
      <c r="C12" s="8"/>
      <c r="D12" s="9"/>
      <c r="E12" s="9"/>
      <c r="F12" s="9"/>
      <c r="G12" s="5"/>
    </row>
    <row r="13" spans="1:7" ht="15">
      <c r="A13" s="17" t="s">
        <v>4</v>
      </c>
      <c r="B13" s="11"/>
      <c r="C13" s="12"/>
      <c r="D13" s="10"/>
      <c r="E13" s="10"/>
      <c r="F13" s="10"/>
      <c r="G13" s="38"/>
    </row>
    <row r="14" spans="1:7" ht="15">
      <c r="A14" s="30"/>
      <c r="B14" s="31"/>
      <c r="C14" s="37"/>
      <c r="D14" s="36"/>
      <c r="E14" s="32"/>
      <c r="F14" s="32"/>
      <c r="G14" s="39"/>
    </row>
    <row r="15" spans="1:7" ht="15">
      <c r="A15" s="25"/>
      <c r="B15" s="25"/>
      <c r="C15" s="19"/>
      <c r="D15" s="4"/>
      <c r="E15" s="4"/>
      <c r="F15" s="4"/>
      <c r="G15" s="32"/>
    </row>
    <row r="16" spans="1:7" ht="15">
      <c r="A16" s="27"/>
      <c r="B16" s="25"/>
      <c r="C16" s="42"/>
      <c r="D16" s="21"/>
      <c r="E16" s="21"/>
      <c r="F16" s="25"/>
      <c r="G16" s="32"/>
    </row>
    <row r="17" spans="1:7" ht="15">
      <c r="A17" s="4"/>
      <c r="B17" s="4"/>
      <c r="C17" s="21"/>
      <c r="D17" s="4"/>
      <c r="E17" s="4"/>
      <c r="F17" s="25"/>
      <c r="G17" s="2"/>
    </row>
    <row r="18" spans="1:7" ht="15">
      <c r="A18" s="27"/>
      <c r="B18" s="19"/>
      <c r="C18" s="21"/>
      <c r="D18" s="21"/>
      <c r="E18" s="21"/>
      <c r="F18" s="25"/>
      <c r="G18" s="2"/>
    </row>
  </sheetData>
  <printOptions/>
  <pageMargins left="0.75" right="0.75" top="1" bottom="1" header="0" footer="0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MDV Consultores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Vilariño</dc:creator>
  <cp:keywords/>
  <dc:description/>
  <cp:lastModifiedBy> </cp:lastModifiedBy>
  <cp:lastPrinted>2002-01-14T14:43:51Z</cp:lastPrinted>
  <dcterms:created xsi:type="dcterms:W3CDTF">1998-10-24T18:14:38Z</dcterms:created>
  <dcterms:modified xsi:type="dcterms:W3CDTF">2007-12-02T14:17:58Z</dcterms:modified>
  <cp:category/>
  <cp:version/>
  <cp:contentType/>
  <cp:contentStatus/>
</cp:coreProperties>
</file>